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35" windowHeight="4875" activeTab="1"/>
  </bookViews>
  <sheets>
    <sheet name="CTD" sheetId="1" r:id="rId1"/>
    <sheet name="Conversion Factor" sheetId="2" r:id="rId2"/>
    <sheet name="Preço equivalente a futuro-Arbi" sheetId="3" r:id="rId3"/>
    <sheet name="Cobertura de risco" sheetId="4" r:id="rId4"/>
  </sheets>
  <definedNames/>
  <calcPr fullCalcOnLoad="1"/>
</workbook>
</file>

<file path=xl/sharedStrings.xml><?xml version="1.0" encoding="utf-8"?>
<sst xmlns="http://schemas.openxmlformats.org/spreadsheetml/2006/main" count="130" uniqueCount="87">
  <si>
    <t>Total</t>
  </si>
  <si>
    <t>Yield</t>
  </si>
  <si>
    <t>Data quasi coupon 1</t>
  </si>
  <si>
    <t>Data quasi coupon 2</t>
  </si>
  <si>
    <t>Taxa de cupão</t>
  </si>
  <si>
    <t>Bund 3,75% Jan. 2017</t>
  </si>
  <si>
    <t>Bund 4,25% Jul. 2017</t>
  </si>
  <si>
    <t>Bund 4,00% Jan. 2018</t>
  </si>
  <si>
    <t>PF</t>
  </si>
  <si>
    <t>Data quasi cupão 1</t>
  </si>
  <si>
    <t>Data quasi cupão 2</t>
  </si>
  <si>
    <t>Base</t>
  </si>
  <si>
    <t>Base 1</t>
  </si>
  <si>
    <t>Settlement:</t>
  </si>
  <si>
    <t>Preço</t>
  </si>
  <si>
    <t>Implied repo rate</t>
  </si>
  <si>
    <t>Gross Basis</t>
  </si>
  <si>
    <t>Net Basis</t>
  </si>
  <si>
    <t>Custo Financiamento</t>
  </si>
  <si>
    <t>Ajustes diários</t>
  </si>
  <si>
    <t>varição em ticks</t>
  </si>
  <si>
    <t>Liquidação futuros</t>
  </si>
  <si>
    <t>Resultado</t>
  </si>
  <si>
    <t>Com ajustamento do factor de conversão</t>
  </si>
  <si>
    <t>Anos</t>
  </si>
  <si>
    <t>Juro decorrido:</t>
  </si>
  <si>
    <t>Preço Bruto</t>
  </si>
  <si>
    <t>Preço limpo</t>
  </si>
  <si>
    <t>Soma</t>
  </si>
  <si>
    <t xml:space="preserve">Duração </t>
  </si>
  <si>
    <t>DM</t>
  </si>
  <si>
    <t>$Dur</t>
  </si>
  <si>
    <t>Factor de conversão:</t>
  </si>
  <si>
    <t>rácio de cobertura:</t>
  </si>
  <si>
    <t>OT</t>
  </si>
  <si>
    <t xml:space="preserve">Bund MBE </t>
  </si>
  <si>
    <t>Variação</t>
  </si>
  <si>
    <t>VN:</t>
  </si>
  <si>
    <t>Contrato:</t>
  </si>
  <si>
    <t>Preço Futuro:</t>
  </si>
  <si>
    <t>Resultado Futuros:</t>
  </si>
  <si>
    <t>Variação ticks</t>
  </si>
  <si>
    <t>Resultado com cobertura</t>
  </si>
  <si>
    <t>Bloomberg:</t>
  </si>
  <si>
    <t>Valor tick</t>
  </si>
  <si>
    <t>nº contratos</t>
  </si>
  <si>
    <t>Valor</t>
  </si>
  <si>
    <t>Price</t>
  </si>
  <si>
    <t>CF</t>
  </si>
  <si>
    <t>PFxCF-P</t>
  </si>
  <si>
    <t>P/CF</t>
  </si>
  <si>
    <t>Delivery date:</t>
  </si>
  <si>
    <t>Date</t>
  </si>
  <si>
    <t>Coupon rate</t>
  </si>
  <si>
    <t>Next coupon date</t>
  </si>
  <si>
    <t>Delivery date</t>
  </si>
  <si>
    <t>Accrued days 1</t>
  </si>
  <si>
    <t>AI1</t>
  </si>
  <si>
    <t>Coupon period days</t>
  </si>
  <si>
    <t>Accrued days 2</t>
  </si>
  <si>
    <t>Last coupon date/Start date</t>
  </si>
  <si>
    <t>Last coupon date/start date</t>
  </si>
  <si>
    <t>AI2</t>
  </si>
  <si>
    <t>Total AI</t>
  </si>
  <si>
    <t>1st coupon</t>
  </si>
  <si>
    <t>Conversion Factor</t>
  </si>
  <si>
    <t>Last coupon date</t>
  </si>
  <si>
    <t>Accrued Days</t>
  </si>
  <si>
    <t>Accrued days  1</t>
  </si>
  <si>
    <t>Accrued Interest</t>
  </si>
  <si>
    <t>Conversion factor</t>
  </si>
  <si>
    <t>Delivery</t>
  </si>
  <si>
    <t>Financing rate</t>
  </si>
  <si>
    <t>Quote Future</t>
  </si>
  <si>
    <t>Financing cost</t>
  </si>
  <si>
    <t>Cost of buying</t>
  </si>
  <si>
    <t>Accrued Interest at delivery</t>
  </si>
  <si>
    <t>Forward Price</t>
  </si>
  <si>
    <t>Future Equivalent Price</t>
  </si>
  <si>
    <t>Net financing Cost</t>
  </si>
  <si>
    <t>Cash &amp; Carry Arbitrage</t>
  </si>
  <si>
    <t>Scenario 1</t>
  </si>
  <si>
    <t>Scenario 2</t>
  </si>
  <si>
    <t>Scenario 3</t>
  </si>
  <si>
    <t>Buying cost</t>
  </si>
  <si>
    <t>t</t>
  </si>
  <si>
    <t>Discounted CF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</si>
</sst>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yyyy"/>
    <numFmt numFmtId="165" formatCode="[$-816]dddd\,\ d&quot; de &quot;mmmm&quot; de &quot;yyyy"/>
    <numFmt numFmtId="166" formatCode="0.000000"/>
    <numFmt numFmtId="167" formatCode="0.00000"/>
    <numFmt numFmtId="168" formatCode="0.0000"/>
    <numFmt numFmtId="169" formatCode="0.0%"/>
    <numFmt numFmtId="170" formatCode="0.0"/>
    <numFmt numFmtId="171" formatCode="#,##0.0"/>
    <numFmt numFmtId="172" formatCode="0.000%"/>
    <numFmt numFmtId="173" formatCode="0.0000%"/>
    <numFmt numFmtId="174" formatCode="0.00000%"/>
    <numFmt numFmtId="175" formatCode="0.000000%"/>
    <numFmt numFmtId="176" formatCode="&quot;Sim&quot;;&quot;Sim&quot;;&quot;Não&quot;"/>
    <numFmt numFmtId="177" formatCode="&quot;Verdadeiro&quot;;&quot;Verdadeiro&quot;;&quot;Falso&quot;"/>
    <numFmt numFmtId="178" formatCode="&quot;Activado&quot;;&quot;Activado&quot;;&quot;Desactivado&quot;"/>
    <numFmt numFmtId="179" formatCode="0.000"/>
    <numFmt numFmtId="180" formatCode="0.0000000"/>
    <numFmt numFmtId="181" formatCode="#,##0.000"/>
    <numFmt numFmtId="182" formatCode="#,##0.0000"/>
    <numFmt numFmtId="183" formatCode="0.0000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4" fillId="20" borderId="7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9" fontId="0" fillId="0" borderId="0" xfId="54" applyFont="1" applyAlignment="1">
      <alignment/>
    </xf>
    <xf numFmtId="10" fontId="0" fillId="0" borderId="0" xfId="54" applyNumberFormat="1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73" fontId="0" fillId="0" borderId="0" xfId="54" applyNumberFormat="1" applyFont="1" applyAlignment="1">
      <alignment/>
    </xf>
    <xf numFmtId="0" fontId="4" fillId="0" borderId="0" xfId="0" applyFont="1" applyAlignment="1">
      <alignment/>
    </xf>
    <xf numFmtId="174" fontId="4" fillId="0" borderId="0" xfId="54" applyNumberFormat="1" applyFont="1" applyAlignment="1">
      <alignment/>
    </xf>
    <xf numFmtId="174" fontId="0" fillId="0" borderId="0" xfId="0" applyNumberFormat="1" applyAlignment="1">
      <alignment/>
    </xf>
    <xf numFmtId="173" fontId="4" fillId="0" borderId="0" xfId="54" applyNumberFormat="1" applyFont="1" applyAlignment="1">
      <alignment/>
    </xf>
    <xf numFmtId="173" fontId="4" fillId="0" borderId="0" xfId="0" applyNumberFormat="1" applyFont="1" applyAlignment="1">
      <alignment/>
    </xf>
    <xf numFmtId="10" fontId="0" fillId="0" borderId="0" xfId="0" applyNumberFormat="1" applyAlignment="1">
      <alignment horizontal="center"/>
    </xf>
    <xf numFmtId="14" fontId="4" fillId="0" borderId="0" xfId="0" applyNumberFormat="1" applyFont="1" applyAlignment="1">
      <alignment horizontal="left"/>
    </xf>
    <xf numFmtId="3" fontId="0" fillId="0" borderId="0" xfId="0" applyNumberFormat="1" applyAlignment="1">
      <alignment horizontal="center"/>
    </xf>
    <xf numFmtId="175" fontId="0" fillId="0" borderId="0" xfId="54" applyNumberFormat="1" applyFont="1" applyAlignment="1">
      <alignment horizontal="center"/>
    </xf>
    <xf numFmtId="175" fontId="0" fillId="0" borderId="0" xfId="0" applyNumberFormat="1" applyAlignment="1">
      <alignment horizontal="center"/>
    </xf>
    <xf numFmtId="172" fontId="4" fillId="0" borderId="0" xfId="54" applyNumberFormat="1" applyFont="1" applyAlignment="1">
      <alignment horizontal="center"/>
    </xf>
    <xf numFmtId="14" fontId="0" fillId="0" borderId="10" xfId="0" applyNumberFormat="1" applyBorder="1" applyAlignment="1">
      <alignment horizontal="left"/>
    </xf>
    <xf numFmtId="3" fontId="0" fillId="0" borderId="11" xfId="0" applyNumberFormat="1" applyBorder="1" applyAlignment="1">
      <alignment horizontal="left"/>
    </xf>
    <xf numFmtId="10" fontId="0" fillId="0" borderId="12" xfId="0" applyNumberFormat="1" applyBorder="1" applyAlignment="1">
      <alignment horizontal="left"/>
    </xf>
    <xf numFmtId="0" fontId="0" fillId="0" borderId="13" xfId="0" applyBorder="1" applyAlignment="1">
      <alignment/>
    </xf>
    <xf numFmtId="10" fontId="0" fillId="0" borderId="14" xfId="0" applyNumberFormat="1" applyBorder="1" applyAlignment="1">
      <alignment horizontal="left"/>
    </xf>
    <xf numFmtId="10" fontId="0" fillId="0" borderId="0" xfId="54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9" fontId="0" fillId="0" borderId="0" xfId="54" applyFont="1" applyAlignment="1">
      <alignment horizontal="center"/>
    </xf>
    <xf numFmtId="4" fontId="0" fillId="0" borderId="0" xfId="0" applyNumberFormat="1" applyAlignment="1">
      <alignment horizontal="center"/>
    </xf>
    <xf numFmtId="172" fontId="0" fillId="0" borderId="0" xfId="54" applyNumberFormat="1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54" applyNumberFormat="1" applyFont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175" fontId="0" fillId="0" borderId="0" xfId="54" applyNumberFormat="1" applyFont="1" applyAlignment="1">
      <alignment/>
    </xf>
    <xf numFmtId="172" fontId="4" fillId="0" borderId="0" xfId="54" applyNumberFormat="1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166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top" wrapText="1"/>
    </xf>
    <xf numFmtId="179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14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82" fontId="0" fillId="0" borderId="0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0" xfId="0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29" xfId="0" applyFont="1" applyBorder="1" applyAlignment="1">
      <alignment horizontal="right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0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19.8515625" style="0" customWidth="1"/>
    <col min="3" max="3" width="18.28125" style="0" customWidth="1"/>
    <col min="4" max="4" width="10.8515625" style="0" bestFit="1" customWidth="1"/>
    <col min="5" max="5" width="11.28125" style="0" customWidth="1"/>
  </cols>
  <sheetData>
    <row r="1" spans="2:3" ht="12.75">
      <c r="B1" s="49" t="s">
        <v>8</v>
      </c>
      <c r="C1" s="50">
        <v>117.4</v>
      </c>
    </row>
    <row r="2" spans="3:6" ht="13.5" thickBot="1">
      <c r="C2" s="69" t="s">
        <v>47</v>
      </c>
      <c r="D2" s="69" t="s">
        <v>48</v>
      </c>
      <c r="E2" s="70" t="s">
        <v>49</v>
      </c>
      <c r="F2" s="70" t="s">
        <v>50</v>
      </c>
    </row>
    <row r="3" spans="2:6" ht="15" customHeight="1" thickBot="1">
      <c r="B3" s="51" t="s">
        <v>5</v>
      </c>
      <c r="C3" s="52">
        <v>99.715</v>
      </c>
      <c r="D3" s="53">
        <v>0.849146</v>
      </c>
      <c r="E3" s="54">
        <f>D3*$C$1-C3</f>
        <v>-0.025259599999998272</v>
      </c>
      <c r="F3" s="55">
        <f>C3/D3</f>
        <v>117.4297470635203</v>
      </c>
    </row>
    <row r="4" spans="2:6" ht="15" customHeight="1" thickBot="1">
      <c r="B4" s="51" t="s">
        <v>6</v>
      </c>
      <c r="C4" s="52">
        <v>103.465</v>
      </c>
      <c r="D4" s="56">
        <v>0.877457</v>
      </c>
      <c r="E4" s="54">
        <f>D4*$C$1-C4</f>
        <v>-0.45154819999999063</v>
      </c>
      <c r="F4" s="55">
        <f>C4/D4</f>
        <v>117.91461006066395</v>
      </c>
    </row>
    <row r="5" spans="2:6" ht="15" customHeight="1" thickBot="1">
      <c r="B5" s="57" t="s">
        <v>7</v>
      </c>
      <c r="C5" s="58">
        <v>101.326</v>
      </c>
      <c r="D5" s="58">
        <v>0.854343</v>
      </c>
      <c r="E5" s="54">
        <f>D5*$C$1-C5</f>
        <v>-1.0261317999999875</v>
      </c>
      <c r="F5" s="55">
        <f>C5/D5</f>
        <v>118.6010770849647</v>
      </c>
    </row>
    <row r="6" ht="15" customHeight="1" thickTop="1"/>
    <row r="7" ht="15" customHeight="1"/>
    <row r="8" ht="15" customHeight="1"/>
    <row r="9" spans="3:13" ht="15" customHeight="1"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3:13" ht="15" customHeight="1"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3:13" ht="15" customHeight="1">
      <c r="C11" s="29"/>
      <c r="D11" s="29"/>
      <c r="E11" s="29"/>
      <c r="F11" s="30"/>
      <c r="G11" s="29"/>
      <c r="H11" s="29"/>
      <c r="I11" s="29"/>
      <c r="J11" s="29"/>
      <c r="K11" s="29"/>
      <c r="L11" s="29"/>
      <c r="M11" s="29"/>
    </row>
    <row r="12" spans="3:13" ht="15" customHeight="1"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3:13" ht="15" customHeight="1"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3:13" ht="12.75"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3:13" ht="12.75"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3:13" ht="12.75"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3:13" ht="12.75"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3:13" ht="12.75"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3:13" ht="12.75"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3:13" ht="12.75"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7"/>
  <sheetViews>
    <sheetView tabSelected="1" zoomScale="115" zoomScaleNormal="115" zoomScalePageLayoutView="0" workbookViewId="0" topLeftCell="A4">
      <selection activeCell="F4" sqref="F4"/>
    </sheetView>
  </sheetViews>
  <sheetFormatPr defaultColWidth="9.140625" defaultRowHeight="12.75"/>
  <cols>
    <col min="2" max="2" width="32.00390625" style="0" customWidth="1"/>
    <col min="3" max="3" width="10.140625" style="0" bestFit="1" customWidth="1"/>
    <col min="4" max="4" width="14.8515625" style="0" customWidth="1"/>
    <col min="5" max="5" width="10.8515625" style="0" customWidth="1"/>
    <col min="6" max="6" width="12.00390625" style="0" bestFit="1" customWidth="1"/>
    <col min="7" max="7" width="10.28125" style="0" bestFit="1" customWidth="1"/>
    <col min="8" max="9" width="10.140625" style="0" bestFit="1" customWidth="1"/>
    <col min="10" max="10" width="9.28125" style="0" bestFit="1" customWidth="1"/>
    <col min="11" max="11" width="10.28125" style="0" bestFit="1" customWidth="1"/>
  </cols>
  <sheetData>
    <row r="2" spans="2:3" ht="12.75">
      <c r="B2" s="70" t="s">
        <v>51</v>
      </c>
      <c r="C2" s="1">
        <v>39609</v>
      </c>
    </row>
    <row r="3" spans="6:7" ht="12.75">
      <c r="F3" t="s">
        <v>1</v>
      </c>
      <c r="G3" s="6">
        <v>0.06</v>
      </c>
    </row>
    <row r="5" spans="4:8" ht="12.75">
      <c r="D5" s="69" t="s">
        <v>52</v>
      </c>
      <c r="E5" s="70" t="s">
        <v>85</v>
      </c>
      <c r="G5" s="70" t="s">
        <v>48</v>
      </c>
      <c r="H5" s="70" t="s">
        <v>86</v>
      </c>
    </row>
    <row r="6" spans="4:8" ht="12.75">
      <c r="D6" s="3">
        <v>39817</v>
      </c>
      <c r="E6" s="4">
        <f>(D6-C2)/366</f>
        <v>0.5683060109289617</v>
      </c>
      <c r="F6" s="48">
        <f>1/(1+$G$3)^(E6)</f>
        <v>0.9674277143329977</v>
      </c>
      <c r="G6" s="13">
        <v>0.04537</v>
      </c>
      <c r="H6" s="10">
        <f>G6*F6</f>
        <v>0.043892195399288104</v>
      </c>
    </row>
    <row r="7" spans="4:8" ht="12.75">
      <c r="D7" s="3">
        <v>40182</v>
      </c>
      <c r="E7" s="4">
        <f>1+E6</f>
        <v>1.5683060109289617</v>
      </c>
      <c r="F7" s="48">
        <f aca="true" t="shared" si="0" ref="F6:F15">1/(1+$G$3)^(E7)</f>
        <v>0.9126676550311299</v>
      </c>
      <c r="G7" s="5">
        <v>0.04</v>
      </c>
      <c r="H7" s="10">
        <f aca="true" t="shared" si="1" ref="H7:H14">G7*F7</f>
        <v>0.036506706201245194</v>
      </c>
    </row>
    <row r="8" spans="4:8" ht="12.75">
      <c r="D8" s="3">
        <v>40547</v>
      </c>
      <c r="E8" s="4">
        <f aca="true" t="shared" si="2" ref="E8:E15">1+E7</f>
        <v>2.5683060109289615</v>
      </c>
      <c r="F8" s="48">
        <f t="shared" si="0"/>
        <v>0.861007221727481</v>
      </c>
      <c r="G8" s="5">
        <v>0.04</v>
      </c>
      <c r="H8" s="10">
        <f t="shared" si="1"/>
        <v>0.03444028886909924</v>
      </c>
    </row>
    <row r="9" spans="4:8" ht="12.75">
      <c r="D9" s="3">
        <v>40912</v>
      </c>
      <c r="E9" s="4">
        <f t="shared" si="2"/>
        <v>3.5683060109289615</v>
      </c>
      <c r="F9" s="48">
        <f t="shared" si="0"/>
        <v>0.81227096389385</v>
      </c>
      <c r="G9" s="5">
        <v>0.04</v>
      </c>
      <c r="H9" s="10">
        <f t="shared" si="1"/>
        <v>0.032490838555754</v>
      </c>
    </row>
    <row r="10" spans="4:8" ht="12.75">
      <c r="D10" s="3">
        <v>41278</v>
      </c>
      <c r="E10" s="4">
        <f t="shared" si="2"/>
        <v>4.5683060109289615</v>
      </c>
      <c r="F10" s="48">
        <f t="shared" si="0"/>
        <v>0.7662933621640093</v>
      </c>
      <c r="G10" s="5">
        <v>0.04</v>
      </c>
      <c r="H10" s="10">
        <f t="shared" si="1"/>
        <v>0.030651734486560375</v>
      </c>
    </row>
    <row r="11" spans="4:8" ht="12.75">
      <c r="D11" s="3">
        <v>41643</v>
      </c>
      <c r="E11" s="4">
        <f t="shared" si="2"/>
        <v>5.5683060109289615</v>
      </c>
      <c r="F11" s="48">
        <f t="shared" si="0"/>
        <v>0.7229182661924616</v>
      </c>
      <c r="G11" s="5">
        <v>0.04</v>
      </c>
      <c r="H11" s="10">
        <f t="shared" si="1"/>
        <v>0.028916730647698462</v>
      </c>
    </row>
    <row r="12" spans="4:8" ht="12.75">
      <c r="D12" s="3">
        <v>42008</v>
      </c>
      <c r="E12" s="4">
        <f t="shared" si="2"/>
        <v>6.5683060109289615</v>
      </c>
      <c r="F12" s="48">
        <f t="shared" si="0"/>
        <v>0.6819983643325109</v>
      </c>
      <c r="G12" s="5">
        <v>0.04</v>
      </c>
      <c r="H12" s="10">
        <f t="shared" si="1"/>
        <v>0.027279934573300437</v>
      </c>
    </row>
    <row r="13" spans="4:8" ht="12.75">
      <c r="D13" s="3">
        <v>42373</v>
      </c>
      <c r="E13" s="4">
        <f t="shared" si="2"/>
        <v>7.5683060109289615</v>
      </c>
      <c r="F13" s="48">
        <f t="shared" si="0"/>
        <v>0.6433946833325574</v>
      </c>
      <c r="G13" s="5">
        <v>0.04</v>
      </c>
      <c r="H13" s="10">
        <f t="shared" si="1"/>
        <v>0.0257357873333023</v>
      </c>
    </row>
    <row r="14" spans="4:8" ht="12.75">
      <c r="D14" s="3">
        <v>42739</v>
      </c>
      <c r="E14" s="4">
        <f t="shared" si="2"/>
        <v>8.56830601092896</v>
      </c>
      <c r="F14" s="48">
        <f t="shared" si="0"/>
        <v>0.6069761163514693</v>
      </c>
      <c r="G14" s="5">
        <v>0.04</v>
      </c>
      <c r="H14" s="10">
        <f t="shared" si="1"/>
        <v>0.024279044654058772</v>
      </c>
    </row>
    <row r="15" spans="4:8" ht="12.75">
      <c r="D15" s="3">
        <v>43104</v>
      </c>
      <c r="E15" s="4">
        <f t="shared" si="2"/>
        <v>9.56830601092896</v>
      </c>
      <c r="F15" s="48">
        <f t="shared" si="0"/>
        <v>0.5726189776900653</v>
      </c>
      <c r="G15" s="5">
        <v>1.04</v>
      </c>
      <c r="H15" s="10">
        <f>G15*F15</f>
        <v>0.5955237367976679</v>
      </c>
    </row>
    <row r="17" spans="2:8" ht="12.75">
      <c r="B17" s="71" t="s">
        <v>53</v>
      </c>
      <c r="C17" s="6">
        <v>0.04</v>
      </c>
      <c r="G17" s="11" t="s">
        <v>0</v>
      </c>
      <c r="H17" s="14">
        <f>SUM(H6:H16)</f>
        <v>0.8797169975179748</v>
      </c>
    </row>
    <row r="19" spans="2:3" ht="12.75">
      <c r="B19" s="70" t="s">
        <v>51</v>
      </c>
      <c r="C19" s="1">
        <v>39609</v>
      </c>
    </row>
    <row r="20" spans="2:3" ht="12.75">
      <c r="B20" s="70" t="s">
        <v>61</v>
      </c>
      <c r="C20" s="1">
        <v>39402</v>
      </c>
    </row>
    <row r="21" spans="2:7" ht="12.75">
      <c r="B21" s="70" t="s">
        <v>54</v>
      </c>
      <c r="C21" s="1">
        <v>39817</v>
      </c>
      <c r="E21" s="11" t="s">
        <v>65</v>
      </c>
      <c r="F21" s="11"/>
      <c r="G21" s="15">
        <f>H17-C37</f>
        <v>0.8570793749414347</v>
      </c>
    </row>
    <row r="22" spans="2:3" ht="12.75">
      <c r="B22" t="s">
        <v>2</v>
      </c>
      <c r="C22" s="1">
        <v>39451</v>
      </c>
    </row>
    <row r="23" spans="2:3" ht="12.75">
      <c r="B23" t="s">
        <v>3</v>
      </c>
      <c r="C23" s="1">
        <v>39086</v>
      </c>
    </row>
    <row r="25" spans="2:3" ht="12.75">
      <c r="B25" s="70" t="s">
        <v>55</v>
      </c>
      <c r="C25" s="1">
        <v>39609</v>
      </c>
    </row>
    <row r="26" spans="2:9" ht="12.75">
      <c r="B26" t="s">
        <v>2</v>
      </c>
      <c r="C26" s="1">
        <v>39451</v>
      </c>
      <c r="E26" s="1"/>
      <c r="F26" s="1"/>
      <c r="G26" s="1"/>
      <c r="H26" s="1"/>
      <c r="I26" s="1"/>
    </row>
    <row r="27" spans="2:8" ht="12.75">
      <c r="B27" s="70" t="s">
        <v>56</v>
      </c>
      <c r="C27" s="7">
        <f>C25-C26</f>
        <v>158</v>
      </c>
      <c r="G27" s="8"/>
      <c r="H27" s="8"/>
    </row>
    <row r="28" spans="2:8" ht="12.75">
      <c r="B28" s="70" t="s">
        <v>58</v>
      </c>
      <c r="C28" s="8">
        <f>C21-C26</f>
        <v>366</v>
      </c>
      <c r="G28" s="7"/>
      <c r="H28" s="7"/>
    </row>
    <row r="29" spans="2:4" ht="12.75">
      <c r="B29" s="11" t="s">
        <v>57</v>
      </c>
      <c r="C29" s="14">
        <f>(C27/C28)*C17</f>
        <v>0.01726775956284153</v>
      </c>
      <c r="D29" s="1"/>
    </row>
    <row r="30" spans="10:11" ht="12.75">
      <c r="J30" s="12"/>
      <c r="K30" s="13"/>
    </row>
    <row r="31" spans="2:3" ht="12.75">
      <c r="B31" t="s">
        <v>2</v>
      </c>
      <c r="C31" s="1">
        <v>39451</v>
      </c>
    </row>
    <row r="32" spans="2:3" ht="12.75">
      <c r="B32" s="70" t="s">
        <v>60</v>
      </c>
      <c r="C32" s="1">
        <v>39402</v>
      </c>
    </row>
    <row r="33" spans="2:3" ht="12.75">
      <c r="B33" s="70" t="s">
        <v>59</v>
      </c>
      <c r="C33" s="7">
        <f>C31-C32</f>
        <v>49</v>
      </c>
    </row>
    <row r="34" spans="2:3" ht="12.75">
      <c r="B34" s="70" t="s">
        <v>58</v>
      </c>
      <c r="C34" s="8">
        <f>C31-C23</f>
        <v>365</v>
      </c>
    </row>
    <row r="35" spans="2:6" ht="12.75">
      <c r="B35" s="11" t="s">
        <v>62</v>
      </c>
      <c r="C35" s="14">
        <f>(C33/C34)*C17</f>
        <v>0.005369863013698631</v>
      </c>
      <c r="E35" s="11" t="s">
        <v>64</v>
      </c>
      <c r="F35" s="15">
        <f>C35+0.04</f>
        <v>0.04536986301369863</v>
      </c>
    </row>
    <row r="37" spans="2:9" ht="12.75">
      <c r="B37" s="11" t="s">
        <v>63</v>
      </c>
      <c r="C37" s="15">
        <f>C35+C29</f>
        <v>0.022637622576540162</v>
      </c>
      <c r="I37" s="34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115" zoomScaleNormal="115" zoomScalePageLayoutView="0" workbookViewId="0" topLeftCell="A27">
      <selection activeCell="G34" sqref="G34"/>
    </sheetView>
  </sheetViews>
  <sheetFormatPr defaultColWidth="9.140625" defaultRowHeight="12.75"/>
  <cols>
    <col min="3" max="3" width="26.28125" style="0" customWidth="1"/>
    <col min="4" max="6" width="20.00390625" style="0" bestFit="1" customWidth="1"/>
  </cols>
  <sheetData>
    <row r="1" spans="1:6" ht="12.75">
      <c r="A1" s="73" t="s">
        <v>13</v>
      </c>
      <c r="B1" s="73"/>
      <c r="C1" s="17">
        <v>39553</v>
      </c>
      <c r="D1" t="s">
        <v>5</v>
      </c>
      <c r="E1" t="s">
        <v>6</v>
      </c>
      <c r="F1" t="s">
        <v>7</v>
      </c>
    </row>
    <row r="2" spans="3:6" ht="12.75">
      <c r="C2" s="70" t="s">
        <v>53</v>
      </c>
      <c r="D2" s="16">
        <v>0.0375</v>
      </c>
      <c r="E2" s="16">
        <v>0.0425</v>
      </c>
      <c r="F2" s="16">
        <v>0.04</v>
      </c>
    </row>
    <row r="3" spans="3:6" ht="12.75">
      <c r="C3" s="70" t="s">
        <v>66</v>
      </c>
      <c r="D3" s="3">
        <v>39451</v>
      </c>
      <c r="E3" s="3">
        <v>39227</v>
      </c>
      <c r="F3" s="3">
        <v>39402</v>
      </c>
    </row>
    <row r="4" spans="3:6" ht="12.75">
      <c r="C4" s="70" t="s">
        <v>54</v>
      </c>
      <c r="D4" s="3">
        <v>39817</v>
      </c>
      <c r="E4" s="3">
        <v>39633</v>
      </c>
      <c r="F4" s="3">
        <v>39817</v>
      </c>
    </row>
    <row r="5" spans="3:6" ht="12.75">
      <c r="C5" t="s">
        <v>9</v>
      </c>
      <c r="E5" s="3">
        <v>39267</v>
      </c>
      <c r="F5" s="3">
        <v>39451</v>
      </c>
    </row>
    <row r="6" spans="3:6" ht="12.75">
      <c r="C6" t="s">
        <v>10</v>
      </c>
      <c r="E6" s="3">
        <v>38902</v>
      </c>
      <c r="F6" s="3">
        <v>39086</v>
      </c>
    </row>
    <row r="7" spans="3:6" ht="12.75">
      <c r="C7" s="70" t="s">
        <v>67</v>
      </c>
      <c r="D7" s="18">
        <f>$C$1-D3</f>
        <v>102</v>
      </c>
      <c r="E7" s="18">
        <f>C1-E5</f>
        <v>286</v>
      </c>
      <c r="F7" s="18">
        <f>C1-F5</f>
        <v>102</v>
      </c>
    </row>
    <row r="8" spans="3:6" ht="12.75">
      <c r="C8" t="s">
        <v>11</v>
      </c>
      <c r="D8" s="18">
        <f>D4-D3</f>
        <v>366</v>
      </c>
      <c r="E8" s="18">
        <f>E4-E5</f>
        <v>366</v>
      </c>
      <c r="F8" s="18">
        <f>F4-F5</f>
        <v>366</v>
      </c>
    </row>
    <row r="9" spans="3:6" ht="12.75">
      <c r="C9" s="70" t="s">
        <v>68</v>
      </c>
      <c r="D9" s="18"/>
      <c r="E9" s="18">
        <f>E5-E3</f>
        <v>40</v>
      </c>
      <c r="F9" s="18">
        <f>F5-F3</f>
        <v>49</v>
      </c>
    </row>
    <row r="10" spans="3:6" ht="12.75">
      <c r="C10" t="s">
        <v>12</v>
      </c>
      <c r="D10" s="18"/>
      <c r="E10" s="18">
        <f>E5-E6</f>
        <v>365</v>
      </c>
      <c r="F10" s="18">
        <f>F5-F6</f>
        <v>365</v>
      </c>
    </row>
    <row r="12" spans="3:6" ht="12.75">
      <c r="C12" s="70" t="s">
        <v>47</v>
      </c>
      <c r="D12" s="16">
        <v>0.9824</v>
      </c>
      <c r="E12" s="16">
        <v>1.0202</v>
      </c>
      <c r="F12" s="16">
        <v>1.0006</v>
      </c>
    </row>
    <row r="13" spans="3:6" ht="12.75">
      <c r="C13" s="70" t="s">
        <v>69</v>
      </c>
      <c r="D13" s="19">
        <f>D2*(D7/D8)</f>
        <v>0.010450819672131146</v>
      </c>
      <c r="E13" s="19">
        <f>E2*(E7/E8+E9/E10)</f>
        <v>0.03786791676023655</v>
      </c>
      <c r="F13" s="19">
        <f>F2*(F7/F8+F9/F10)</f>
        <v>0.016517403997305186</v>
      </c>
    </row>
    <row r="14" spans="3:6" ht="12.75">
      <c r="C14" s="70" t="s">
        <v>70</v>
      </c>
      <c r="D14" s="2">
        <v>0.852348</v>
      </c>
      <c r="E14" s="2">
        <v>0.880218</v>
      </c>
      <c r="F14" s="2">
        <v>0.857079</v>
      </c>
    </row>
    <row r="16" spans="1:4" ht="12.75">
      <c r="A16" s="74" t="s">
        <v>71</v>
      </c>
      <c r="B16" s="75"/>
      <c r="C16" s="22">
        <v>39609</v>
      </c>
      <c r="D16" s="23">
        <f>C16-C1</f>
        <v>56</v>
      </c>
    </row>
    <row r="17" spans="1:4" ht="12.75">
      <c r="A17" s="76" t="s">
        <v>72</v>
      </c>
      <c r="B17" s="77"/>
      <c r="C17" s="77"/>
      <c r="D17" s="24">
        <v>0.0452</v>
      </c>
    </row>
    <row r="18" spans="1:4" ht="12.75">
      <c r="A18" s="25"/>
      <c r="B18" s="78" t="s">
        <v>73</v>
      </c>
      <c r="C18" s="79"/>
      <c r="D18" s="26">
        <v>1.1536</v>
      </c>
    </row>
    <row r="19" spans="3:6" ht="12.75">
      <c r="C19" s="70" t="s">
        <v>75</v>
      </c>
      <c r="D19" s="20">
        <f>D13+D12</f>
        <v>0.9928508196721312</v>
      </c>
      <c r="E19" s="20">
        <f>E13+E12</f>
        <v>1.0580679167602365</v>
      </c>
      <c r="F19" s="20">
        <f>F13+F12</f>
        <v>1.0171174039973052</v>
      </c>
    </row>
    <row r="20" spans="3:6" ht="12.75">
      <c r="C20" s="70" t="s">
        <v>74</v>
      </c>
      <c r="D20" s="19">
        <f>D19*$D$17*$D$16/360</f>
        <v>0.006980844429872495</v>
      </c>
      <c r="E20" s="19">
        <f>E19*$D$17*$D$16/360</f>
        <v>0.007439393085843085</v>
      </c>
      <c r="F20" s="19">
        <f>F19*$D$17*$D$16/360</f>
        <v>0.007151465480549942</v>
      </c>
    </row>
    <row r="21" spans="3:6" ht="12.75">
      <c r="C21" s="70" t="s">
        <v>76</v>
      </c>
      <c r="D21" s="19">
        <f>D2*(D7+$D$16)/366</f>
        <v>0.016188524590163934</v>
      </c>
      <c r="E21" s="19">
        <f>E2*((E7+$D$16)/366+E9/E10)</f>
        <v>0.0443706490006737</v>
      </c>
      <c r="F21" s="19">
        <f>F2*((F7+$D$16)/366+F9/F10)</f>
        <v>0.022637622576540162</v>
      </c>
    </row>
    <row r="22" spans="3:6" ht="12.75">
      <c r="C22" s="70" t="s">
        <v>77</v>
      </c>
      <c r="D22" s="20">
        <f>D19+D20-D21</f>
        <v>0.9836431395118397</v>
      </c>
      <c r="E22" s="20">
        <f>E19+E20-E21</f>
        <v>1.021136660845406</v>
      </c>
      <c r="F22" s="20">
        <f>F19+F20-F21</f>
        <v>1.001631246901315</v>
      </c>
    </row>
    <row r="23" spans="3:6" ht="12.75">
      <c r="C23" s="11" t="s">
        <v>78</v>
      </c>
      <c r="D23" s="21">
        <f>D22/D14</f>
        <v>1.1540393589377105</v>
      </c>
      <c r="E23" s="21">
        <f>E22/E14</f>
        <v>1.160095181926984</v>
      </c>
      <c r="F23" s="21">
        <f>F22/F14</f>
        <v>1.1686568529870818</v>
      </c>
    </row>
    <row r="25" spans="3:6" ht="12.75">
      <c r="C25" s="71" t="s">
        <v>79</v>
      </c>
      <c r="D25" s="20">
        <f>D20+D13-D21</f>
        <v>0.0012431395118397068</v>
      </c>
      <c r="E25" s="20">
        <f>E20+E13-E21</f>
        <v>0.0009366608454059316</v>
      </c>
      <c r="F25" s="20">
        <f>F20+F13-F21</f>
        <v>0.0010312469013149667</v>
      </c>
    </row>
    <row r="26" spans="4:6" ht="12.75">
      <c r="D26" s="20">
        <f>D12+D25</f>
        <v>0.9836431395118398</v>
      </c>
      <c r="E26" s="20">
        <f>E12+E25</f>
        <v>1.021136660845406</v>
      </c>
      <c r="F26" s="20">
        <f>F12+F25</f>
        <v>1.0016312469013149</v>
      </c>
    </row>
    <row r="28" spans="3:6" ht="12.75">
      <c r="C28" t="s">
        <v>15</v>
      </c>
      <c r="D28" s="27">
        <f>(($D$18*D14+D21)/(D12+D13)-1)*(360/$D$16)</f>
        <v>0.042775250452119495</v>
      </c>
      <c r="E28" s="27">
        <f>(($D$18*E14+E21)/(E12+E13)-1)*(360/$D$16)</f>
        <v>0.010463785060087653</v>
      </c>
      <c r="F28" s="27">
        <f>(($D$18*F14+F21)/(F12+F13)-1)*(360/$D$16)</f>
        <v>-0.036363988058930916</v>
      </c>
    </row>
    <row r="30" spans="1:6" ht="12.75">
      <c r="A30" s="72" t="s">
        <v>43</v>
      </c>
      <c r="B30" s="72"/>
      <c r="C30" t="s">
        <v>16</v>
      </c>
      <c r="D30" s="28">
        <f>D12-$D$18*D14</f>
        <v>-0.000868652799999925</v>
      </c>
      <c r="E30" s="28">
        <f>E12-$D$18*E14</f>
        <v>0.004780515200000002</v>
      </c>
      <c r="F30" s="28">
        <f>F12-$D$18*F14</f>
        <v>0.011873665599999916</v>
      </c>
    </row>
    <row r="31" spans="3:6" ht="12.75">
      <c r="C31" t="s">
        <v>17</v>
      </c>
      <c r="D31" s="28">
        <f>D30+D25</f>
        <v>0.00037448671183978183</v>
      </c>
      <c r="E31" s="28">
        <f>E30+E25</f>
        <v>0.005717176045405933</v>
      </c>
      <c r="F31" s="28">
        <f>F30+F25</f>
        <v>0.012904912501314883</v>
      </c>
    </row>
    <row r="34" ht="12.75">
      <c r="C34" s="11" t="s">
        <v>80</v>
      </c>
    </row>
    <row r="35" spans="3:4" ht="12.75">
      <c r="C35" s="70" t="s">
        <v>73</v>
      </c>
      <c r="D35" s="27">
        <v>1.1548</v>
      </c>
    </row>
    <row r="37" spans="3:4" ht="12.75">
      <c r="C37" t="s">
        <v>15</v>
      </c>
      <c r="D37" s="27">
        <f>(($D$35*D14+D21)/(D12+D13)-1)*(360/$D$16)</f>
        <v>0.04939785262932404</v>
      </c>
    </row>
    <row r="39" spans="3:6" ht="12.75">
      <c r="C39">
        <v>1000000</v>
      </c>
      <c r="D39" s="69" t="s">
        <v>81</v>
      </c>
      <c r="E39" s="69" t="s">
        <v>82</v>
      </c>
      <c r="F39" s="69" t="s">
        <v>83</v>
      </c>
    </row>
    <row r="40" spans="4:6" ht="12.75">
      <c r="D40" s="27">
        <v>1.15</v>
      </c>
      <c r="E40" s="27">
        <v>1.1548</v>
      </c>
      <c r="F40" s="32">
        <v>1.16</v>
      </c>
    </row>
    <row r="42" spans="3:6" ht="12.75">
      <c r="C42" s="70" t="s">
        <v>84</v>
      </c>
      <c r="D42" s="31">
        <f>C39*(D12+D13)</f>
        <v>992850.8196721312</v>
      </c>
      <c r="E42" s="31">
        <f>D42</f>
        <v>992850.8196721312</v>
      </c>
      <c r="F42" s="31">
        <f>E42</f>
        <v>992850.8196721312</v>
      </c>
    </row>
    <row r="43" spans="3:6" ht="12.75">
      <c r="C43" t="s">
        <v>18</v>
      </c>
      <c r="D43" s="31">
        <f>D42*D16*D17/360</f>
        <v>6980.844429872495</v>
      </c>
      <c r="E43" s="31">
        <f>D43</f>
        <v>6980.844429872495</v>
      </c>
      <c r="F43" s="31">
        <f>E43</f>
        <v>6980.844429872495</v>
      </c>
    </row>
    <row r="44" ht="12.75">
      <c r="C44" t="s">
        <v>19</v>
      </c>
    </row>
    <row r="45" spans="3:6" ht="12.75">
      <c r="C45" s="9" t="s">
        <v>20</v>
      </c>
      <c r="D45" s="2">
        <f>((D40-$D$35)/0.01)*100</f>
        <v>-48.00000000000138</v>
      </c>
      <c r="E45" s="2">
        <f>((E40-$D$35)/0.01)*100</f>
        <v>0</v>
      </c>
      <c r="F45" s="2">
        <f>((F40-$D$35)/0.01)*100</f>
        <v>51.999999999998714</v>
      </c>
    </row>
    <row r="46" spans="4:6" ht="12.75">
      <c r="D46" s="2">
        <f>-D45*10*10</f>
        <v>4800.000000000137</v>
      </c>
      <c r="E46" s="2">
        <f>-E45*10*10</f>
        <v>0</v>
      </c>
      <c r="F46" s="2">
        <f>-F45*10*10</f>
        <v>-5199.999999999872</v>
      </c>
    </row>
    <row r="48" spans="3:6" ht="12.75">
      <c r="C48" t="s">
        <v>21</v>
      </c>
      <c r="D48" s="33">
        <f>(D40*$D$14+$D$21)*10*100000</f>
        <v>996388.7245901638</v>
      </c>
      <c r="E48" s="33">
        <f>(E40*$D$14+$D$21)*10*100000</f>
        <v>1000479.9949901638</v>
      </c>
      <c r="F48" s="33">
        <f>(F40*$D$14+$D$21)*10*100000</f>
        <v>1004912.2045901637</v>
      </c>
    </row>
    <row r="50" spans="3:6" ht="12.75">
      <c r="C50" t="s">
        <v>22</v>
      </c>
      <c r="D50" s="33">
        <f>D48+D46-D43-D42</f>
        <v>1357.060488160234</v>
      </c>
      <c r="E50" s="33">
        <f>E48+E46-E43-E42</f>
        <v>648.3308881601552</v>
      </c>
      <c r="F50" s="33">
        <f>F48+F46-F43-F42</f>
        <v>-119.4595118399011</v>
      </c>
    </row>
    <row r="52" ht="12.75">
      <c r="C52" t="s">
        <v>23</v>
      </c>
    </row>
    <row r="53" spans="3:6" ht="12.75">
      <c r="C53" t="s">
        <v>19</v>
      </c>
      <c r="D53" s="2">
        <f>-D45*10*9</f>
        <v>4320.000000000124</v>
      </c>
      <c r="E53" s="2">
        <f>-E45*10*9</f>
        <v>0</v>
      </c>
      <c r="F53" s="2">
        <f>-F45*10*9</f>
        <v>-4679.9999999998845</v>
      </c>
    </row>
    <row r="54" spans="3:6" ht="12.75">
      <c r="C54" t="s">
        <v>22</v>
      </c>
      <c r="D54" s="33">
        <f>D53+D48-D43-D42</f>
        <v>877.060488160234</v>
      </c>
      <c r="E54" s="33">
        <f>E53+E48-E43-E42</f>
        <v>648.3308881601552</v>
      </c>
      <c r="F54" s="33">
        <f>F53+F48-F43-F42</f>
        <v>400.5404881600989</v>
      </c>
    </row>
  </sheetData>
  <sheetProtection/>
  <mergeCells count="5">
    <mergeCell ref="A30:B30"/>
    <mergeCell ref="A1:B1"/>
    <mergeCell ref="A16:B16"/>
    <mergeCell ref="A17:C17"/>
    <mergeCell ref="B18:C18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A46">
      <selection activeCell="K61" sqref="K61"/>
    </sheetView>
  </sheetViews>
  <sheetFormatPr defaultColWidth="9.140625" defaultRowHeight="12.75"/>
  <cols>
    <col min="1" max="1" width="7.8515625" style="0" customWidth="1"/>
    <col min="2" max="3" width="10.140625" style="0" bestFit="1" customWidth="1"/>
    <col min="5" max="5" width="10.28125" style="0" bestFit="1" customWidth="1"/>
    <col min="6" max="6" width="11.28125" style="0" bestFit="1" customWidth="1"/>
    <col min="7" max="7" width="11.57421875" style="0" customWidth="1"/>
    <col min="8" max="8" width="12.00390625" style="0" bestFit="1" customWidth="1"/>
    <col min="9" max="9" width="8.7109375" style="0" customWidth="1"/>
    <col min="10" max="10" width="18.140625" style="0" customWidth="1"/>
    <col min="11" max="11" width="11.28125" style="0" bestFit="1" customWidth="1"/>
    <col min="13" max="13" width="9.28125" style="0" bestFit="1" customWidth="1"/>
    <col min="14" max="14" width="10.8515625" style="0" bestFit="1" customWidth="1"/>
    <col min="17" max="17" width="12.00390625" style="0" bestFit="1" customWidth="1"/>
  </cols>
  <sheetData>
    <row r="1" spans="3:11" ht="12.75">
      <c r="C1" s="11" t="s">
        <v>34</v>
      </c>
      <c r="K1" s="11" t="s">
        <v>35</v>
      </c>
    </row>
    <row r="2" spans="3:14" ht="12.75">
      <c r="C2" s="42">
        <v>39540</v>
      </c>
      <c r="D2" s="82" t="s">
        <v>4</v>
      </c>
      <c r="E2" s="82"/>
      <c r="F2" s="34">
        <v>0.0435</v>
      </c>
      <c r="K2" s="42">
        <v>39540</v>
      </c>
      <c r="L2" s="82" t="s">
        <v>4</v>
      </c>
      <c r="M2" s="82"/>
      <c r="N2" s="34">
        <v>0.0375</v>
      </c>
    </row>
    <row r="3" spans="4:14" ht="12.75">
      <c r="D3" s="82" t="s">
        <v>14</v>
      </c>
      <c r="E3" s="82"/>
      <c r="F3" s="34">
        <v>1.003</v>
      </c>
      <c r="G3" s="31">
        <f>F3*C21</f>
        <v>2005999.9999999998</v>
      </c>
      <c r="L3" s="82" t="s">
        <v>14</v>
      </c>
      <c r="M3" s="82"/>
      <c r="N3" s="34">
        <v>0.982</v>
      </c>
    </row>
    <row r="4" spans="4:14" ht="12.75">
      <c r="D4" s="82" t="s">
        <v>1</v>
      </c>
      <c r="E4" s="82"/>
      <c r="F4" s="10">
        <v>0.0430802</v>
      </c>
      <c r="L4" s="82" t="s">
        <v>1</v>
      </c>
      <c r="M4" s="82"/>
      <c r="N4" s="10">
        <v>0.039958</v>
      </c>
    </row>
    <row r="6" spans="4:12" ht="12.75">
      <c r="D6" t="s">
        <v>24</v>
      </c>
      <c r="L6" t="s">
        <v>24</v>
      </c>
    </row>
    <row r="7" spans="2:17" ht="12.75">
      <c r="B7" s="1">
        <v>39371</v>
      </c>
      <c r="C7" s="1">
        <v>39737</v>
      </c>
      <c r="D7">
        <f>(C7-C2)/366</f>
        <v>0.5382513661202186</v>
      </c>
      <c r="E7" s="35">
        <f>F2</f>
        <v>0.0435</v>
      </c>
      <c r="F7" s="34">
        <f>E7/(1+$F$4)^D7</f>
        <v>0.042523571091478224</v>
      </c>
      <c r="H7">
        <f aca="true" t="shared" si="0" ref="H7:H16">F7*D7</f>
        <v>0.02288837023229839</v>
      </c>
      <c r="J7" s="1">
        <v>39451</v>
      </c>
      <c r="K7" s="1">
        <v>39817</v>
      </c>
      <c r="L7">
        <f>(K7-K2)/366</f>
        <v>0.7568306010928961</v>
      </c>
      <c r="M7" s="35">
        <f>N2</f>
        <v>0.0375</v>
      </c>
      <c r="N7" s="34">
        <f>M7/(1+$N$4)^L7</f>
        <v>0.0364043423186176</v>
      </c>
      <c r="Q7">
        <f>N7*L7</f>
        <v>0.02755192027939091</v>
      </c>
    </row>
    <row r="8" spans="3:17" ht="12.75">
      <c r="C8" s="1">
        <f>DATE(YEAR(C7)+1,10,16)</f>
        <v>40102</v>
      </c>
      <c r="D8">
        <f>D7+1</f>
        <v>1.5382513661202186</v>
      </c>
      <c r="E8" s="35">
        <f>E7</f>
        <v>0.0435</v>
      </c>
      <c r="F8" s="34">
        <f aca="true" t="shared" si="1" ref="F8:F16">E8/(1+$F$4)^D8</f>
        <v>0.04076730733790003</v>
      </c>
      <c r="H8">
        <f t="shared" si="0"/>
        <v>0.06271036620556754</v>
      </c>
      <c r="K8" s="1">
        <f>DATE(YEAR(K7)+1,1,4)</f>
        <v>40182</v>
      </c>
      <c r="L8">
        <f>L7+1</f>
        <v>1.7568306010928962</v>
      </c>
      <c r="M8" s="35">
        <f>M7</f>
        <v>0.0375</v>
      </c>
      <c r="N8" s="34">
        <f aca="true" t="shared" si="2" ref="N8:N15">M8/(1+$N$4)^L8</f>
        <v>0.03500558899361089</v>
      </c>
      <c r="Q8">
        <f aca="true" t="shared" si="3" ref="Q8:Q15">N8*L8</f>
        <v>0.061498889953256294</v>
      </c>
    </row>
    <row r="9" spans="3:17" ht="12.75">
      <c r="C9" s="1">
        <f aca="true" t="shared" si="4" ref="C9:C14">DATE(YEAR(C8)+1,10,16)</f>
        <v>40467</v>
      </c>
      <c r="D9">
        <f aca="true" t="shared" si="5" ref="D9:D16">D8+1</f>
        <v>2.5382513661202184</v>
      </c>
      <c r="E9" s="35">
        <f aca="true" t="shared" si="6" ref="E9:E15">E8</f>
        <v>0.0435</v>
      </c>
      <c r="F9" s="34">
        <f t="shared" si="1"/>
        <v>0.0390835789404305</v>
      </c>
      <c r="H9">
        <f t="shared" si="0"/>
        <v>0.09920394763841511</v>
      </c>
      <c r="K9" s="1">
        <f aca="true" t="shared" si="7" ref="K9:K15">DATE(YEAR(K8)+1,1,4)</f>
        <v>40547</v>
      </c>
      <c r="L9">
        <f aca="true" t="shared" si="8" ref="L9:L15">L8+1</f>
        <v>2.7568306010928962</v>
      </c>
      <c r="M9" s="35">
        <f aca="true" t="shared" si="9" ref="M9:M14">M8</f>
        <v>0.0375</v>
      </c>
      <c r="N9" s="34">
        <f t="shared" si="2"/>
        <v>0.033660579555723304</v>
      </c>
      <c r="Q9">
        <f t="shared" si="3"/>
        <v>0.09279651576973993</v>
      </c>
    </row>
    <row r="10" spans="3:17" ht="12.75">
      <c r="C10" s="1">
        <f t="shared" si="4"/>
        <v>40832</v>
      </c>
      <c r="D10">
        <f t="shared" si="5"/>
        <v>3.5382513661202184</v>
      </c>
      <c r="E10" s="35">
        <f t="shared" si="6"/>
        <v>0.0435</v>
      </c>
      <c r="F10" s="34">
        <f t="shared" si="1"/>
        <v>0.037469390120175326</v>
      </c>
      <c r="H10">
        <f t="shared" si="0"/>
        <v>0.13257612078040176</v>
      </c>
      <c r="K10" s="1">
        <f t="shared" si="7"/>
        <v>40912</v>
      </c>
      <c r="L10">
        <f t="shared" si="8"/>
        <v>3.7568306010928962</v>
      </c>
      <c r="M10" s="35">
        <f t="shared" si="9"/>
        <v>0.0375</v>
      </c>
      <c r="N10" s="34">
        <f t="shared" si="2"/>
        <v>0.03236724901940589</v>
      </c>
      <c r="Q10">
        <f t="shared" si="3"/>
        <v>0.12159827158929808</v>
      </c>
    </row>
    <row r="11" spans="3:17" ht="12.75">
      <c r="C11" s="1">
        <f t="shared" si="4"/>
        <v>41198</v>
      </c>
      <c r="D11">
        <f t="shared" si="5"/>
        <v>4.538251366120218</v>
      </c>
      <c r="E11" s="35">
        <f t="shared" si="6"/>
        <v>0.0435</v>
      </c>
      <c r="F11" s="34">
        <f t="shared" si="1"/>
        <v>0.035921868826745376</v>
      </c>
      <c r="H11">
        <f t="shared" si="0"/>
        <v>0.1630224702765685</v>
      </c>
      <c r="K11" s="1">
        <f t="shared" si="7"/>
        <v>41278</v>
      </c>
      <c r="L11">
        <f t="shared" si="8"/>
        <v>4.756830601092896</v>
      </c>
      <c r="M11" s="35">
        <f t="shared" si="9"/>
        <v>0.0375</v>
      </c>
      <c r="N11" s="34">
        <f t="shared" si="2"/>
        <v>0.031123611741441373</v>
      </c>
      <c r="Q11">
        <f t="shared" si="3"/>
        <v>0.1480497487482225</v>
      </c>
    </row>
    <row r="12" spans="3:17" ht="12.75">
      <c r="C12" s="1">
        <f t="shared" si="4"/>
        <v>41563</v>
      </c>
      <c r="D12">
        <f t="shared" si="5"/>
        <v>5.538251366120218</v>
      </c>
      <c r="E12" s="35">
        <f t="shared" si="6"/>
        <v>0.0435</v>
      </c>
      <c r="F12" s="34">
        <f t="shared" si="1"/>
        <v>0.03443826162815225</v>
      </c>
      <c r="H12">
        <f t="shared" si="0"/>
        <v>0.1907277495089197</v>
      </c>
      <c r="K12" s="1">
        <f t="shared" si="7"/>
        <v>41643</v>
      </c>
      <c r="L12">
        <f t="shared" si="8"/>
        <v>5.756830601092896</v>
      </c>
      <c r="M12" s="35">
        <f t="shared" si="9"/>
        <v>0.0375</v>
      </c>
      <c r="N12" s="34">
        <f t="shared" si="2"/>
        <v>0.029927758372397133</v>
      </c>
      <c r="Q12">
        <f t="shared" si="3"/>
        <v>0.17228903522032996</v>
      </c>
    </row>
    <row r="13" spans="3:17" ht="12.75">
      <c r="C13" s="1">
        <f>DATE(YEAR(C12)+1,10,16)</f>
        <v>41928</v>
      </c>
      <c r="D13">
        <f t="shared" si="5"/>
        <v>6.538251366120218</v>
      </c>
      <c r="E13" s="35">
        <f t="shared" si="6"/>
        <v>0.0435</v>
      </c>
      <c r="F13" s="34">
        <f t="shared" si="1"/>
        <v>0.033015928811756044</v>
      </c>
      <c r="H13">
        <f t="shared" si="0"/>
        <v>0.21586644165719185</v>
      </c>
      <c r="K13" s="1">
        <f t="shared" si="7"/>
        <v>42008</v>
      </c>
      <c r="L13">
        <f t="shared" si="8"/>
        <v>6.756830601092896</v>
      </c>
      <c r="M13" s="35">
        <f t="shared" si="9"/>
        <v>0.0375</v>
      </c>
      <c r="N13" s="34">
        <f t="shared" si="2"/>
        <v>0.028777852925211532</v>
      </c>
      <c r="Q13">
        <f t="shared" si="3"/>
        <v>0.19444707727882</v>
      </c>
    </row>
    <row r="14" spans="3:17" ht="12.75">
      <c r="C14" s="1">
        <f t="shared" si="4"/>
        <v>42293</v>
      </c>
      <c r="D14">
        <f t="shared" si="5"/>
        <v>7.538251366120218</v>
      </c>
      <c r="E14" s="35">
        <f t="shared" si="6"/>
        <v>0.0435</v>
      </c>
      <c r="F14" s="34">
        <f t="shared" si="1"/>
        <v>0.03165233968754852</v>
      </c>
      <c r="H14">
        <f t="shared" si="0"/>
        <v>0.23860329289056384</v>
      </c>
      <c r="K14" s="1">
        <f t="shared" si="7"/>
        <v>42373</v>
      </c>
      <c r="L14">
        <f t="shared" si="8"/>
        <v>7.756830601092896</v>
      </c>
      <c r="M14" s="35">
        <f t="shared" si="9"/>
        <v>0.0375</v>
      </c>
      <c r="N14" s="34">
        <f t="shared" si="2"/>
        <v>0.027672129956413175</v>
      </c>
      <c r="Q14">
        <f t="shared" si="3"/>
        <v>0.21464802444332515</v>
      </c>
    </row>
    <row r="15" spans="3:17" ht="12.75">
      <c r="C15" s="1">
        <f>DATE(YEAR(C14)+1,10,16)</f>
        <v>42659</v>
      </c>
      <c r="D15">
        <f t="shared" si="5"/>
        <v>8.538251366120218</v>
      </c>
      <c r="E15" s="35">
        <f t="shared" si="6"/>
        <v>0.0435</v>
      </c>
      <c r="F15" s="34">
        <f t="shared" si="1"/>
        <v>0.030345068085415216</v>
      </c>
      <c r="H15">
        <f t="shared" si="0"/>
        <v>0.2590938190353075</v>
      </c>
      <c r="K15" s="1">
        <f t="shared" si="7"/>
        <v>42739</v>
      </c>
      <c r="L15">
        <f t="shared" si="8"/>
        <v>8.756830601092897</v>
      </c>
      <c r="M15" s="35">
        <f>1+M14</f>
        <v>1.0375</v>
      </c>
      <c r="N15" s="34">
        <f t="shared" si="2"/>
        <v>0.7361793413395201</v>
      </c>
      <c r="Q15">
        <f t="shared" si="3"/>
        <v>6.446597784134323</v>
      </c>
    </row>
    <row r="16" spans="3:18" ht="12.75">
      <c r="C16" s="1">
        <f>DATE(YEAR(C15)+1,10,16)</f>
        <v>43024</v>
      </c>
      <c r="D16">
        <f t="shared" si="5"/>
        <v>9.538251366120218</v>
      </c>
      <c r="E16" s="6">
        <v>1.0435</v>
      </c>
      <c r="F16" s="34">
        <f t="shared" si="1"/>
        <v>0.6978685245524995</v>
      </c>
      <c r="H16" s="38">
        <f t="shared" si="0"/>
        <v>6.656445407685179</v>
      </c>
      <c r="K16" s="1"/>
      <c r="N16" s="35">
        <f>SUM(N7:N15)</f>
        <v>0.991118454222341</v>
      </c>
      <c r="O16" t="s">
        <v>26</v>
      </c>
      <c r="Q16">
        <f>SUM(Q7:Q15)</f>
        <v>7.479477267416707</v>
      </c>
      <c r="R16" t="s">
        <v>28</v>
      </c>
    </row>
    <row r="17" spans="6:15" ht="12.75">
      <c r="F17" s="35">
        <f>SUM(F7:F16)</f>
        <v>1.023085839082101</v>
      </c>
      <c r="G17" t="s">
        <v>26</v>
      </c>
      <c r="H17">
        <f>SUM(H7:H16)</f>
        <v>8.041137985910414</v>
      </c>
      <c r="I17" t="s">
        <v>28</v>
      </c>
      <c r="N17" s="36">
        <f>N16-K18</f>
        <v>0.9819996017633246</v>
      </c>
      <c r="O17" t="s">
        <v>27</v>
      </c>
    </row>
    <row r="18" spans="1:18" ht="12.75">
      <c r="A18" s="82" t="s">
        <v>25</v>
      </c>
      <c r="B18" s="82"/>
      <c r="C18" s="37">
        <f>(C2-B7)/366*F2</f>
        <v>0.02008606557377049</v>
      </c>
      <c r="F18" s="36">
        <f>F17-C18</f>
        <v>1.0029997735083305</v>
      </c>
      <c r="G18" t="s">
        <v>27</v>
      </c>
      <c r="H18">
        <f>H17/F17</f>
        <v>7.859690437241137</v>
      </c>
      <c r="I18" t="s">
        <v>29</v>
      </c>
      <c r="J18" s="39" t="s">
        <v>25</v>
      </c>
      <c r="K18" s="40">
        <f>(K2-J7)/366*N2</f>
        <v>0.009118852459016393</v>
      </c>
      <c r="Q18">
        <f>Q16/N16</f>
        <v>7.546501869229457</v>
      </c>
      <c r="R18" t="s">
        <v>29</v>
      </c>
    </row>
    <row r="19" spans="8:18" ht="12.75">
      <c r="H19">
        <f>H18/(1+F4)</f>
        <v>7.535077779485353</v>
      </c>
      <c r="I19" t="s">
        <v>30</v>
      </c>
      <c r="Q19">
        <f>Q18/(1+N4)</f>
        <v>7.25654485010881</v>
      </c>
      <c r="R19" t="s">
        <v>30</v>
      </c>
    </row>
    <row r="20" spans="8:18" ht="13.5" thickBot="1">
      <c r="H20" s="41">
        <f>-H19*F17</f>
        <v>-7.7090313725736666</v>
      </c>
      <c r="I20" s="11" t="s">
        <v>31</v>
      </c>
      <c r="Q20" s="41">
        <f>-Q19*N16</f>
        <v>-7.192095514834933</v>
      </c>
      <c r="R20" s="11" t="s">
        <v>31</v>
      </c>
    </row>
    <row r="21" spans="1:11" ht="13.5" thickBot="1">
      <c r="A21" s="82" t="s">
        <v>37</v>
      </c>
      <c r="B21" s="82"/>
      <c r="C21" s="8">
        <v>2000000</v>
      </c>
      <c r="J21" s="45" t="s">
        <v>32</v>
      </c>
      <c r="K21" s="46">
        <v>0.852348</v>
      </c>
    </row>
    <row r="22" spans="2:3" ht="13.5" thickBot="1">
      <c r="B22" s="9" t="s">
        <v>38</v>
      </c>
      <c r="C22" s="8">
        <v>100000</v>
      </c>
    </row>
    <row r="23" spans="1:3" ht="13.5" thickBot="1">
      <c r="A23" s="80" t="s">
        <v>39</v>
      </c>
      <c r="B23" s="81"/>
      <c r="C23" s="46">
        <v>115.18</v>
      </c>
    </row>
    <row r="24" ht="13.5" thickBot="1"/>
    <row r="25" spans="1:3" ht="13.5" thickBot="1">
      <c r="A25" s="83" t="s">
        <v>33</v>
      </c>
      <c r="B25" s="84"/>
      <c r="C25" s="44">
        <f>-(C21*H20*K21)/(C22*Q20)</f>
        <v>-18.272219713425834</v>
      </c>
    </row>
    <row r="26" ht="12.75">
      <c r="C26" s="42"/>
    </row>
    <row r="27" ht="13.5" thickBot="1"/>
    <row r="28" spans="2:14" ht="12.75">
      <c r="B28" s="42">
        <v>39566</v>
      </c>
      <c r="D28" s="9" t="s">
        <v>4</v>
      </c>
      <c r="E28" s="9"/>
      <c r="F28" s="34">
        <v>0.0435</v>
      </c>
      <c r="G28" s="60" t="s">
        <v>46</v>
      </c>
      <c r="H28" s="61" t="s">
        <v>36</v>
      </c>
      <c r="K28" s="42">
        <v>39566</v>
      </c>
      <c r="L28" s="82" t="s">
        <v>4</v>
      </c>
      <c r="M28" s="82"/>
      <c r="N28" s="34">
        <v>0.0375</v>
      </c>
    </row>
    <row r="29" spans="4:14" ht="13.5" thickBot="1">
      <c r="D29" s="9" t="s">
        <v>14</v>
      </c>
      <c r="E29" s="9"/>
      <c r="F29" s="34">
        <v>0.9853</v>
      </c>
      <c r="G29" s="62">
        <f>F29*C21</f>
        <v>1970600</v>
      </c>
      <c r="H29" s="63">
        <f>G29-G3</f>
        <v>-35399.99999999977</v>
      </c>
      <c r="L29" s="82" t="s">
        <v>14</v>
      </c>
      <c r="M29" s="82"/>
      <c r="N29" s="34">
        <v>0.9675</v>
      </c>
    </row>
    <row r="30" spans="3:14" ht="12.75">
      <c r="C30" s="11"/>
      <c r="D30" s="43" t="s">
        <v>1</v>
      </c>
      <c r="E30" s="43"/>
      <c r="F30" s="14">
        <v>0.045413</v>
      </c>
      <c r="L30" s="82" t="s">
        <v>1</v>
      </c>
      <c r="M30" s="82"/>
      <c r="N30" s="10">
        <v>0.04202</v>
      </c>
    </row>
    <row r="31" spans="4:14" ht="12.75">
      <c r="D31" t="s">
        <v>36</v>
      </c>
      <c r="F31" s="36">
        <f>F30-F4</f>
        <v>0.002332800000000003</v>
      </c>
      <c r="M31" t="s">
        <v>36</v>
      </c>
      <c r="N31" s="36">
        <f>N30-N4</f>
        <v>0.0020620000000000013</v>
      </c>
    </row>
    <row r="32" ht="12.75">
      <c r="L32" t="s">
        <v>24</v>
      </c>
    </row>
    <row r="33" spans="4:14" ht="12.75">
      <c r="D33" t="s">
        <v>24</v>
      </c>
      <c r="J33" s="1">
        <v>39451</v>
      </c>
      <c r="K33" s="1">
        <v>39817</v>
      </c>
      <c r="L33">
        <f>(K33-K28)/366</f>
        <v>0.6857923497267759</v>
      </c>
      <c r="M33" s="35">
        <f>N28</f>
        <v>0.0375</v>
      </c>
      <c r="N33" s="34">
        <f>M33/(1+$N$30)^L33</f>
        <v>0.03645625104237572</v>
      </c>
    </row>
    <row r="34" spans="2:14" ht="12.75">
      <c r="B34" s="1">
        <v>39371</v>
      </c>
      <c r="C34" s="1">
        <v>39737</v>
      </c>
      <c r="D34">
        <f>(C34-B28)/366</f>
        <v>0.4672131147540984</v>
      </c>
      <c r="E34" s="35">
        <f>F28</f>
        <v>0.0435</v>
      </c>
      <c r="F34" s="34">
        <f>E34/(1+$F$30)^D34</f>
        <v>0.04260668043311349</v>
      </c>
      <c r="K34" s="1">
        <f>DATE(YEAR(K33)+1,1,4)</f>
        <v>40182</v>
      </c>
      <c r="L34">
        <f>L33+1</f>
        <v>1.685792349726776</v>
      </c>
      <c r="M34" s="35">
        <f>M33</f>
        <v>0.0375</v>
      </c>
      <c r="N34" s="34">
        <f aca="true" t="shared" si="10" ref="N34:N41">M34/(1+$N$30)^L34</f>
        <v>0.03498613370412825</v>
      </c>
    </row>
    <row r="35" spans="3:14" ht="12.75">
      <c r="C35" s="1">
        <f aca="true" t="shared" si="11" ref="C35:C43">DATE(YEAR(C34)+1,10,16)</f>
        <v>40102</v>
      </c>
      <c r="D35">
        <f>D34+1</f>
        <v>1.4672131147540983</v>
      </c>
      <c r="E35" s="35">
        <f>E34</f>
        <v>0.0435</v>
      </c>
      <c r="F35" s="34">
        <f aca="true" t="shared" si="12" ref="F35:F43">E35/(1+$F$30)^D35</f>
        <v>0.04075583566792597</v>
      </c>
      <c r="K35" s="1">
        <f aca="true" t="shared" si="13" ref="K35:K41">DATE(YEAR(K34)+1,1,4)</f>
        <v>40547</v>
      </c>
      <c r="L35">
        <f aca="true" t="shared" si="14" ref="L35:L41">L34+1</f>
        <v>2.6857923497267757</v>
      </c>
      <c r="M35" s="35">
        <f aca="true" t="shared" si="15" ref="M35:M40">M34</f>
        <v>0.0375</v>
      </c>
      <c r="N35" s="34">
        <f t="shared" si="10"/>
        <v>0.03357529961433394</v>
      </c>
    </row>
    <row r="36" spans="3:14" ht="12.75">
      <c r="C36" s="1">
        <f t="shared" si="11"/>
        <v>40467</v>
      </c>
      <c r="D36">
        <f aca="true" t="shared" si="16" ref="D36:D43">D35+1</f>
        <v>2.4672131147540983</v>
      </c>
      <c r="E36" s="35">
        <f aca="true" t="shared" si="17" ref="E36:E42">E35</f>
        <v>0.0435</v>
      </c>
      <c r="F36" s="34">
        <f t="shared" si="12"/>
        <v>0.03898539205837882</v>
      </c>
      <c r="K36" s="1">
        <f t="shared" si="13"/>
        <v>40912</v>
      </c>
      <c r="L36">
        <f t="shared" si="14"/>
        <v>3.6857923497267757</v>
      </c>
      <c r="M36" s="35">
        <f t="shared" si="15"/>
        <v>0.0375</v>
      </c>
      <c r="N36" s="34">
        <f t="shared" si="10"/>
        <v>0.032221358145077775</v>
      </c>
    </row>
    <row r="37" spans="3:14" ht="12.75">
      <c r="C37" s="1">
        <f t="shared" si="11"/>
        <v>40832</v>
      </c>
      <c r="D37">
        <f t="shared" si="16"/>
        <v>3.4672131147540983</v>
      </c>
      <c r="E37" s="35">
        <f t="shared" si="17"/>
        <v>0.0435</v>
      </c>
      <c r="F37" s="34">
        <f t="shared" si="12"/>
        <v>0.03729185695833018</v>
      </c>
      <c r="K37" s="1">
        <f t="shared" si="13"/>
        <v>41278</v>
      </c>
      <c r="L37">
        <f t="shared" si="14"/>
        <v>4.685792349726776</v>
      </c>
      <c r="M37" s="35">
        <f t="shared" si="15"/>
        <v>0.0375</v>
      </c>
      <c r="N37" s="34">
        <f t="shared" si="10"/>
        <v>0.030922015071762322</v>
      </c>
    </row>
    <row r="38" spans="3:14" ht="12.75">
      <c r="C38" s="1">
        <f t="shared" si="11"/>
        <v>41198</v>
      </c>
      <c r="D38">
        <f t="shared" si="16"/>
        <v>4.467213114754099</v>
      </c>
      <c r="E38" s="35">
        <f t="shared" si="17"/>
        <v>0.0435</v>
      </c>
      <c r="F38" s="34">
        <f t="shared" si="12"/>
        <v>0.035671889443052815</v>
      </c>
      <c r="K38" s="1">
        <f t="shared" si="13"/>
        <v>41643</v>
      </c>
      <c r="L38">
        <f t="shared" si="14"/>
        <v>5.685792349726776</v>
      </c>
      <c r="M38" s="35">
        <f t="shared" si="15"/>
        <v>0.0375</v>
      </c>
      <c r="N38" s="34">
        <f t="shared" si="10"/>
        <v>0.029675068685593678</v>
      </c>
    </row>
    <row r="39" spans="3:14" ht="12.75">
      <c r="C39" s="1">
        <f t="shared" si="11"/>
        <v>41563</v>
      </c>
      <c r="D39">
        <f t="shared" si="16"/>
        <v>5.467213114754099</v>
      </c>
      <c r="E39" s="35">
        <f t="shared" si="17"/>
        <v>0.0435</v>
      </c>
      <c r="F39" s="34">
        <f t="shared" si="12"/>
        <v>0.034122293718418295</v>
      </c>
      <c r="K39" s="1">
        <f t="shared" si="13"/>
        <v>42008</v>
      </c>
      <c r="L39">
        <f t="shared" si="14"/>
        <v>6.685792349726776</v>
      </c>
      <c r="M39" s="35">
        <f t="shared" si="15"/>
        <v>0.0375</v>
      </c>
      <c r="N39" s="34">
        <f t="shared" si="10"/>
        <v>0.02847840606283342</v>
      </c>
    </row>
    <row r="40" spans="3:14" ht="12.75">
      <c r="C40" s="1">
        <f t="shared" si="11"/>
        <v>41928</v>
      </c>
      <c r="D40">
        <f t="shared" si="16"/>
        <v>6.467213114754099</v>
      </c>
      <c r="E40" s="35">
        <f t="shared" si="17"/>
        <v>0.0435</v>
      </c>
      <c r="F40" s="34">
        <f t="shared" si="12"/>
        <v>0.032640012816387676</v>
      </c>
      <c r="K40" s="1">
        <f t="shared" si="13"/>
        <v>42373</v>
      </c>
      <c r="L40">
        <f t="shared" si="14"/>
        <v>7.685792349726776</v>
      </c>
      <c r="M40" s="35">
        <f t="shared" si="15"/>
        <v>0.0375</v>
      </c>
      <c r="N40" s="34">
        <f t="shared" si="10"/>
        <v>0.027329999484494945</v>
      </c>
    </row>
    <row r="41" spans="3:14" ht="12.75">
      <c r="C41" s="1">
        <f t="shared" si="11"/>
        <v>42293</v>
      </c>
      <c r="D41">
        <f t="shared" si="16"/>
        <v>7.467213114754099</v>
      </c>
      <c r="E41" s="35">
        <f t="shared" si="17"/>
        <v>0.0435</v>
      </c>
      <c r="F41" s="34">
        <f t="shared" si="12"/>
        <v>0.031222122564371863</v>
      </c>
      <c r="K41" s="1">
        <f t="shared" si="13"/>
        <v>42739</v>
      </c>
      <c r="L41">
        <f t="shared" si="14"/>
        <v>8.685792349726775</v>
      </c>
      <c r="M41" s="35">
        <f>1+M40</f>
        <v>1.0375</v>
      </c>
      <c r="N41" s="34">
        <f t="shared" si="10"/>
        <v>0.725638649678215</v>
      </c>
    </row>
    <row r="42" spans="3:15" ht="12.75">
      <c r="C42" s="1">
        <f t="shared" si="11"/>
        <v>42659</v>
      </c>
      <c r="D42">
        <f t="shared" si="16"/>
        <v>8.467213114754099</v>
      </c>
      <c r="E42" s="35">
        <f t="shared" si="17"/>
        <v>0.0435</v>
      </c>
      <c r="F42" s="34">
        <f t="shared" si="12"/>
        <v>0.029865825816564235</v>
      </c>
      <c r="K42" s="1"/>
      <c r="N42" s="35">
        <f>SUM(N33:N41)</f>
        <v>0.979283181488815</v>
      </c>
      <c r="O42" t="s">
        <v>26</v>
      </c>
    </row>
    <row r="43" spans="3:15" ht="12.75">
      <c r="C43" s="1">
        <f t="shared" si="11"/>
        <v>43024</v>
      </c>
      <c r="D43">
        <f t="shared" si="16"/>
        <v>9.467213114754099</v>
      </c>
      <c r="E43" s="6">
        <v>1.0435</v>
      </c>
      <c r="F43" s="34">
        <f t="shared" si="12"/>
        <v>0.6853143535074927</v>
      </c>
      <c r="N43" s="36">
        <f>N42-K44</f>
        <v>0.9675003946035691</v>
      </c>
      <c r="O43" t="s">
        <v>27</v>
      </c>
    </row>
    <row r="44" spans="6:11" ht="12.75">
      <c r="F44" s="35">
        <f>SUM(F34:F43)</f>
        <v>1.008476262984036</v>
      </c>
      <c r="G44" t="s">
        <v>26</v>
      </c>
      <c r="J44" s="39" t="s">
        <v>25</v>
      </c>
      <c r="K44" s="40">
        <f>(K28-J33)/366*N28</f>
        <v>0.011782786885245903</v>
      </c>
    </row>
    <row r="45" spans="1:6" ht="12.75">
      <c r="A45" s="82" t="s">
        <v>25</v>
      </c>
      <c r="B45" s="82"/>
      <c r="C45" s="37">
        <f>(B28-B34)/366*F28</f>
        <v>0.02317622950819672</v>
      </c>
      <c r="F45" s="13">
        <f>F44-C45</f>
        <v>0.9853000334758393</v>
      </c>
    </row>
    <row r="46" ht="12.75">
      <c r="C46" s="13">
        <f>C45-C18</f>
        <v>0.0030901639344262308</v>
      </c>
    </row>
    <row r="47" ht="13.5" thickBot="1"/>
    <row r="48" spans="1:3" ht="13.5" thickBot="1">
      <c r="A48" s="80" t="s">
        <v>39</v>
      </c>
      <c r="B48" s="81"/>
      <c r="C48" s="47">
        <v>113.53</v>
      </c>
    </row>
    <row r="50" spans="4:6" ht="12.75">
      <c r="D50" s="2" t="s">
        <v>41</v>
      </c>
      <c r="E50" t="s">
        <v>44</v>
      </c>
      <c r="F50" t="s">
        <v>45</v>
      </c>
    </row>
    <row r="51" spans="2:6" ht="12.75">
      <c r="B51" t="s">
        <v>40</v>
      </c>
      <c r="D51" s="2">
        <f>(C23-C48)/0.01</f>
        <v>165.00000000000057</v>
      </c>
      <c r="E51">
        <v>10</v>
      </c>
      <c r="F51">
        <v>18</v>
      </c>
    </row>
    <row r="52" ht="12.75">
      <c r="D52" s="31">
        <f>D51*E51*F51</f>
        <v>29700.000000000102</v>
      </c>
    </row>
    <row r="54" spans="2:4" ht="12.75">
      <c r="B54" t="s">
        <v>42</v>
      </c>
      <c r="D54" s="31">
        <f>D52+H29</f>
        <v>-5699.999999999665</v>
      </c>
    </row>
    <row r="58" spans="1:7" ht="12.75">
      <c r="A58" s="29"/>
      <c r="B58" s="29"/>
      <c r="C58" s="29"/>
      <c r="D58" s="29"/>
      <c r="E58" s="64"/>
      <c r="F58" s="64"/>
      <c r="G58" s="29"/>
    </row>
    <row r="59" spans="1:7" ht="12.75">
      <c r="A59" s="29"/>
      <c r="B59" s="29"/>
      <c r="C59" s="29"/>
      <c r="D59" s="29"/>
      <c r="E59" s="65"/>
      <c r="F59" s="29"/>
      <c r="G59" s="29"/>
    </row>
    <row r="60" spans="1:7" ht="12.75">
      <c r="A60" s="29"/>
      <c r="B60" s="29"/>
      <c r="C60" s="29"/>
      <c r="D60" s="29"/>
      <c r="E60" s="65"/>
      <c r="F60" s="29"/>
      <c r="G60" s="29"/>
    </row>
    <row r="61" spans="1:7" ht="12.75">
      <c r="A61" s="29"/>
      <c r="B61" s="29"/>
      <c r="C61" s="29"/>
      <c r="D61" s="29"/>
      <c r="E61" s="29"/>
      <c r="F61" s="29"/>
      <c r="G61" s="29"/>
    </row>
    <row r="62" spans="1:7" ht="12.75">
      <c r="A62" s="29"/>
      <c r="B62" s="29"/>
      <c r="C62" s="29"/>
      <c r="D62" s="29"/>
      <c r="E62" s="29"/>
      <c r="F62" s="29"/>
      <c r="G62" s="29"/>
    </row>
    <row r="63" spans="1:7" ht="12.75">
      <c r="A63" s="29"/>
      <c r="B63" s="59"/>
      <c r="C63" s="59"/>
      <c r="D63" s="59"/>
      <c r="E63" s="66"/>
      <c r="F63" s="29"/>
      <c r="G63" s="29"/>
    </row>
    <row r="64" spans="1:7" ht="12.75">
      <c r="A64" s="29"/>
      <c r="B64" s="29"/>
      <c r="C64" s="29"/>
      <c r="D64" s="29"/>
      <c r="E64" s="29"/>
      <c r="F64" s="29"/>
      <c r="G64" s="29"/>
    </row>
    <row r="65" spans="1:7" ht="12.75">
      <c r="A65" s="29"/>
      <c r="B65" s="29"/>
      <c r="C65" s="29"/>
      <c r="D65" s="29"/>
      <c r="E65" s="29"/>
      <c r="F65" s="29"/>
      <c r="G65" s="29"/>
    </row>
    <row r="66" spans="1:7" ht="12.75">
      <c r="A66" s="29"/>
      <c r="B66" s="29"/>
      <c r="C66" s="29"/>
      <c r="D66" s="29"/>
      <c r="E66" s="29"/>
      <c r="F66" s="29"/>
      <c r="G66" s="29"/>
    </row>
    <row r="67" spans="1:7" ht="12.75">
      <c r="A67" s="67"/>
      <c r="B67" s="67"/>
      <c r="C67" s="29"/>
      <c r="D67" s="68"/>
      <c r="E67" s="29"/>
      <c r="F67" s="29"/>
      <c r="G67" s="29"/>
    </row>
    <row r="68" spans="1:7" ht="12.75">
      <c r="A68" s="29"/>
      <c r="B68" s="29"/>
      <c r="C68" s="29"/>
      <c r="D68" s="29"/>
      <c r="E68" s="29"/>
      <c r="F68" s="29"/>
      <c r="G68" s="29"/>
    </row>
    <row r="69" spans="1:7" ht="12.75">
      <c r="A69" s="29"/>
      <c r="B69" s="29"/>
      <c r="C69" s="29"/>
      <c r="D69" s="29"/>
      <c r="E69" s="29"/>
      <c r="F69" s="29"/>
      <c r="G69" s="29"/>
    </row>
    <row r="70" spans="1:7" ht="12.75">
      <c r="A70" s="29"/>
      <c r="B70" s="29"/>
      <c r="C70" s="29"/>
      <c r="D70" s="29"/>
      <c r="E70" s="29"/>
      <c r="F70" s="29"/>
      <c r="G70" s="29"/>
    </row>
    <row r="71" spans="1:7" ht="12.75">
      <c r="A71" s="29"/>
      <c r="B71" s="59"/>
      <c r="C71" s="59"/>
      <c r="D71" s="59"/>
      <c r="E71" s="66"/>
      <c r="F71" s="29"/>
      <c r="G71" s="29"/>
    </row>
    <row r="72" spans="1:7" ht="12.75">
      <c r="A72" s="29"/>
      <c r="B72" s="29"/>
      <c r="C72" s="29"/>
      <c r="D72" s="29"/>
      <c r="E72" s="29"/>
      <c r="F72" s="29"/>
      <c r="G72" s="29"/>
    </row>
    <row r="73" spans="1:7" ht="12.75">
      <c r="A73" s="29"/>
      <c r="B73" s="29"/>
      <c r="C73" s="29"/>
      <c r="D73" s="29"/>
      <c r="E73" s="29"/>
      <c r="F73" s="29"/>
      <c r="G73" s="29"/>
    </row>
  </sheetData>
  <sheetProtection/>
  <mergeCells count="15">
    <mergeCell ref="L2:M2"/>
    <mergeCell ref="L3:M3"/>
    <mergeCell ref="L4:M4"/>
    <mergeCell ref="A21:B21"/>
    <mergeCell ref="D2:E2"/>
    <mergeCell ref="D3:E3"/>
    <mergeCell ref="D4:E4"/>
    <mergeCell ref="A18:B18"/>
    <mergeCell ref="A48:B48"/>
    <mergeCell ref="A23:B23"/>
    <mergeCell ref="A45:B45"/>
    <mergeCell ref="L28:M28"/>
    <mergeCell ref="L29:M29"/>
    <mergeCell ref="L30:M30"/>
    <mergeCell ref="A25:B2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Sérgio Ferreira da Silva</dc:creator>
  <cp:keywords/>
  <dc:description/>
  <cp:lastModifiedBy>Sergio Silva</cp:lastModifiedBy>
  <dcterms:created xsi:type="dcterms:W3CDTF">2008-04-18T10:18:50Z</dcterms:created>
  <dcterms:modified xsi:type="dcterms:W3CDTF">2016-04-19T21:30:11Z</dcterms:modified>
  <cp:category/>
  <cp:version/>
  <cp:contentType/>
  <cp:contentStatus/>
</cp:coreProperties>
</file>